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F21F06CF-DB87-4489-B6E4-F44D88EDFD88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<sst xmlns="http://schemas.openxmlformats.org/spreadsheetml/2006/main" count="283" uniqueCount="198">
  <si>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</si>
  <si>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</si>
  <si>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</si>
  <si>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</si>
  <si>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</si>
  <si>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</si>
  <si>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</si>
  <si>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</si>
  <si>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</si>
  <si>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</si>
  <si>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</si>
  <si>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</si>
  <si>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</si>
  <si>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</si>
  <si>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</si>
  <si>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</si>
  <si>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</si>
  <si>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</si>
  <si>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</si>
  <si>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</si>
  <si>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</si>
  <si>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</si>
  <si>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</si>
  <si>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</si>
  <si>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</si>
  <si>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</si>
  <si>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</si>
  <si>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</si>
  <si>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</si>
  <si>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</si>
  <si>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</si>
  <si>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</si>
  <si>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</si>
  <si>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</si>
  <si>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</si>
  <si>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</si>
  <si>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</si>
  <si>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</si>
  <si>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</si>
  <si>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</si>
  <si>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</si>
  <si>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</si>
  <si>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</si>
  <si>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</si>
  <si>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</si>
  <si>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</si>
  <si>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</si>
  <si>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</si>
  <si>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</si>
  <si>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</si>
  <si>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</si>
  <si>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</si>
  <si>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</si>
  <si>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</si>
  <si>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</si>
  <si>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</si>
  <si>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</si>
  <si>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</si>
  <si>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</si>
  <si>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</si>
  <si>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</si>
  <si>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</si>
  <si>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</si>
  <si>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</si>
  <si>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</si>
  <si>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</si>
  <si>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</si>
  <si>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</si>
  <si>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</si>
  <si>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</si>
  <si>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</si>
  <si>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</si>
  <si>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</si>
  <si>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</si>
  <si>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</si>
  <si>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</si>
  <si>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</si>
  <si>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</si>
  <si>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</si>
  <si>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</si>
  <si>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</si>
  <si>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</si>
  <si>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</si>
  <si>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</si>
  <si>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</si>
  <si>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</si>
  <si>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</si>
  <si>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</si>
  <si>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</si>
  <si>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</si>
  <si>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</si>
  <si>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</si>
  <si>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</si>
  <si>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</si>
  <si>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</si>
  <si>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</si>
  <si>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</si>
  <si>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</si>
  <si>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</si>
  <si>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</si>
  <si>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</si>
  <si>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</si>
  <si>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</si>
  <si>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</si>
  <si>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</si>
  <si>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</si>
  <si>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</si>
  <si>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</si>
  <si>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</si>
  <si>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</si>
  <si>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</si>
  <si>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</si>
  <si>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</si>
  <si>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</si>
  <si>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</si>
  <si>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</si>
  <si>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</si>
  <si>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</si>
  <si>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</si>
  <si>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</si>
  <si>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</si>
  <si>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</si>
  <si>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</si>
  <si>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</si>
  <si>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</si>
  <si>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</si>
  <si>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</si>
  <si>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</si>
  <si>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</si>
  <si>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</si>
  <si>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</si>
  <si>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</si>
  <si>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</si>
  <si>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</si>
  <si>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</si>
  <si>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</si>
  <si>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</si>
  <si>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</si>
  <si>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</si>
  <si>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</si>
  <si>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</si>
  <si>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</si>
  <si>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</si>
  <si>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</si>
  <si>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</si>
  <si>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</si>
  <si>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</si>
  <si>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</si>
  <si>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</si>
  <si>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</si>
  <si>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</si>
  <si>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</si>
  <si>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</si>
  <si>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</si>
  <si>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</si>
  <si>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</si>
  <si>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</si>
  <si>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</si>
  <si>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</si>
  <si>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</si>
  <si>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</si>
  <si>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</si>
  <si>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</si>
  <si>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</si>
  <si>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</si>
  <si>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</si>
  <si>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</si>
  <si>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</si>
  <si>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</si>
  <si>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</si>
  <si>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</si>
  <si>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</si>
  <si>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</si>
  <si>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</si>
  <si>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</si>
  <si>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</si>
  <si>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</si>
  <si>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</si>
  <si>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</si>
  <si>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</si>
  <si>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</si>
  <si>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</si>
  <si>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</si>
  <si>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</si>
  <si>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</si>
  <si>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</si>
  <si>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</si>
  <si>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</si>
  <si>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</si>
  <si>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</si>
  <si>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</si>
  <si>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Pliening</t>
  </si>
  <si>
    <t>Stand: 15.02.2023</t>
  </si>
  <si>
    <t>Die Gemeinde Pliening setzt sich folgende Ziele:</t>
  </si>
  <si>
    <t>Gelting</t>
  </si>
  <si>
    <t>Landsham</t>
  </si>
  <si>
    <t>Ottersberg</t>
  </si>
  <si>
    <t>Pliening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</si>
</sst>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29216.639999999999</c:v>
                </c:pt>
                <c:pt idx="1">
                  <c:v>26629.567140319708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24974.35</c:v>
                </c:pt>
                <c:pt idx="1">
                  <c:v>33471.51681725496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60</c:v>
                </c:pt>
                <c:pt idx="1">
                  <c:v>66.992556987358725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10206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44045</c:v>
                </c:pt>
                <c:pt idx="1">
                  <c:v>60168.076514562024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54251</c:v>
                </c:pt>
                <c:pt idx="1">
                  <c:v>60168.076514562024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7491.71</c:v>
                </c:pt>
                <c:pt idx="1">
                  <c:v>6217.4268733426716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11756.640000000001</c:v>
                </c:pt>
                <c:pt idx="1">
                  <c:v>13187.505583028771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115.98</c:v>
                </c:pt>
                <c:pt idx="1">
                  <c:v>79.39355215772197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13103.157894736843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11268</c:v>
                </c:pt>
                <c:pt idx="1">
                  <c:v>11268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8120.57</c:v>
                </c:pt>
                <c:pt idx="1">
                  <c:v>21319.483903266009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19388.57</c:v>
                </c:pt>
                <c:pt idx="1">
                  <c:v>32587.483903266009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4263.8967806532019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14440.338363494886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60.168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54.251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11 %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60168.076514562024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60168.076514562024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60168.076514562024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29216.639999999999</v>
      </c>
      <c r="E78" s="177">
        <f>LOOKUP('Basis-Annahmen'!E5,'Nachfrage &amp; Erzeugung'!D36:G36,'Nachfrage &amp; Erzeugung'!D38:G38)</f>
        <v>26629.567140319708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24974.35</v>
      </c>
      <c r="E79" s="177">
        <f>LOOKUP('Basis-Annahmen'!E5,'Nachfrage &amp; Erzeugung'!D36:G36,'Nachfrage &amp; Erzeugung'!D39:G39)</f>
        <v>33471.51681725496</v>
      </c>
      <c r="F79" s="175"/>
      <c r="G79" s="176" t="s">
        <v>55</v>
      </c>
      <c r="H79" s="177">
        <f>'Nachfrage &amp; Erzeugung'!C46</f>
        <v>10206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60</v>
      </c>
      <c r="E80" s="177">
        <f>LOOKUP('Basis-Annahmen'!E5,'Nachfrage &amp; Erzeugung'!D36:G36,'Nachfrage &amp; Erzeugung'!D40:G40)</f>
        <v>66.992556987358725</v>
      </c>
      <c r="F80" s="175"/>
      <c r="G80" s="176" t="str">
        <f>'Nachfrage &amp; Erzeugung'!B47</f>
        <v>Nicht erneuerbare Wärmeerzeugung</v>
      </c>
      <c r="H80" s="177">
        <f>MAX(0,H82-H79)</f>
        <v>44045</v>
      </c>
      <c r="I80" s="177">
        <f>MAX(0,I82-I79)</f>
        <v>60168.076514562024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54251</v>
      </c>
      <c r="E82" s="177">
        <f>LOOKUP('Basis-Annahmen'!E5,'Nachfrage &amp; Erzeugung'!D36:G36,'Nachfrage &amp; Erzeugung'!D37:G37)</f>
        <v>60168.076514562024</v>
      </c>
      <c r="F82" s="175"/>
      <c r="G82" s="176" t="s">
        <v>82</v>
      </c>
      <c r="H82" s="177">
        <f>'Nachfrage &amp; Erzeugung'!C37</f>
        <v>54251</v>
      </c>
      <c r="I82" s="177">
        <f>LOOKUP('Basis-Annahmen'!E5,'Nachfrage &amp; Erzeugung'!D36:G36,'Nachfrage &amp; Erzeugung'!D37:G37)</f>
        <v>60168.076514562024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0.10906852435092486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32.587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68 %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40 %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27000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26307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3668.904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11268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11268</v>
      </c>
      <c r="G32" s="256"/>
      <c r="H32" s="248">
        <f>SUM(H27:H31)</f>
        <v>56975.904000000002</v>
      </c>
      <c r="I32" s="248"/>
      <c r="J32" s="245">
        <f>IF(H32&gt;0,F32/H32,0)</f>
        <v>0.19776781426758933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7491.71</v>
      </c>
      <c r="E76" s="186">
        <f>LOOKUP('Basis-Annahmen'!E5,'Nachfrage &amp; Erzeugung'!D9:G9,'Nachfrage &amp; Erzeugung'!D11:G11)</f>
        <v>6217.4268733426716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11756.640000000001</v>
      </c>
      <c r="E77" s="186">
        <f>LOOKUP('Basis-Annahmen'!E5,'Nachfrage &amp; Erzeugung'!D9:G9,'Nachfrage &amp; Erzeugung'!D12:G12)</f>
        <v>13187.505583028771</v>
      </c>
      <c r="F77" s="175"/>
      <c r="G77" s="176" t="s">
        <v>103</v>
      </c>
      <c r="H77" s="186">
        <f>'Nachfrage &amp; Erzeugung'!C21</f>
        <v>11268</v>
      </c>
      <c r="I77" s="186">
        <f>F31</f>
        <v>11268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115.98</v>
      </c>
      <c r="E78" s="186">
        <f>LOOKUP('Basis-Annahmen'!E5,'Nachfrage &amp; Erzeugung'!D9:G9,'Nachfrage &amp; Erzeugung'!D13:G13)</f>
        <v>79.39355215772197</v>
      </c>
      <c r="F78" s="175"/>
      <c r="G78" s="176" t="str">
        <f>'Nachfrage &amp; Erzeugung'!B29</f>
        <v>Nicht aus lokalen EE gedeckter Strombedarf</v>
      </c>
      <c r="H78" s="186">
        <f>'Nachfrage &amp; Erzeugung'!C29</f>
        <v>8120.57</v>
      </c>
      <c r="I78" s="186">
        <f>MAX(0,E82-SUM(I79:I82)-I77)</f>
        <v>21319.483903266009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13103.157894736843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19388.57</v>
      </c>
      <c r="E82" s="186">
        <f>LOOKUP('Basis-Annahmen'!E5,'Nachfrage &amp; Erzeugung'!D9:G9,'Nachfrage &amp; Erzeugung'!D10:G10)</f>
        <v>32587.483903266009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0.68075747222544059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0.40209173355122418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6400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21319.483903266009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4263.8967806532019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0.66623387197706274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60168.076514562024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14440.338363494886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2.2563028692960758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0.87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18704.235144148086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2.9225367412731384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4263.8967806532019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14440.338363494886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1.1568123393316195E-2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2.2622107969151671E-2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5700</v>
      </c>
      <c r="F34" s="69">
        <v>5900</v>
      </c>
      <c r="G34" s="69">
        <v>6000</v>
      </c>
      <c r="H34" s="69">
        <v>6200</v>
      </c>
      <c r="I34" s="70">
        <v>6400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3.5087719298245612E-2</v>
      </c>
      <c r="G36" s="67">
        <f>(G34-F34)/F34</f>
        <v>1.6949152542372881E-2</v>
      </c>
      <c r="H36" s="67">
        <f>(H34-G34)/G34</f>
        <v>3.3333333333333333E-2</v>
      </c>
      <c r="I36" s="68">
        <f>(I34-H34)/H34</f>
        <v>3.2258064516129031E-2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48.086856127886321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0.68245614035087721</v>
      </c>
      <c r="F44" s="73">
        <f>E44*(1+(F13*(F43-E43)))</f>
        <v>0.68245614035087721</v>
      </c>
      <c r="G44" s="73">
        <f t="shared" ref="G44:I44" si="0">F44*(1+(G13*(G43-F43)))</f>
        <v>0.68245614035087721</v>
      </c>
      <c r="H44" s="73">
        <f t="shared" si="0"/>
        <v>0.68245614035087721</v>
      </c>
      <c r="I44" s="190">
        <f t="shared" si="0"/>
        <v>0.68245614035087721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3890</v>
      </c>
      <c r="F45" s="36">
        <f>F44*F34</f>
        <v>4026.4912280701756</v>
      </c>
      <c r="G45" s="36">
        <f t="shared" ref="G45:I45" si="1">G44*G34</f>
        <v>4094.7368421052633</v>
      </c>
      <c r="H45" s="36">
        <f t="shared" si="1"/>
        <v>4231.2280701754389</v>
      </c>
      <c r="I45" s="74">
        <f t="shared" si="1"/>
        <v>4367.7192982456145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45</v>
      </c>
      <c r="F46" s="36">
        <f>F$45*F$14</f>
        <v>201.3245614035088</v>
      </c>
      <c r="G46" s="36">
        <f>G$45*G$14</f>
        <v>1228.421052631579</v>
      </c>
      <c r="H46" s="36">
        <f>H$45*H$14</f>
        <v>2538.7368421052633</v>
      </c>
      <c r="I46" s="74">
        <f>I$45*I$14</f>
        <v>4367.7192982456145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88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19388.57</v>
      </c>
      <c r="D10" s="94">
        <f>D11+D12+D13+D14+D15</f>
        <v>19316.242788851978</v>
      </c>
      <c r="E10" s="94">
        <f>E11+E12+E13+E14+D15</f>
        <v>22540.346953149583</v>
      </c>
      <c r="F10" s="94">
        <f>F11+F12+F13+F14+D15</f>
        <v>26768.543495838683</v>
      </c>
      <c r="G10" s="95">
        <f>G11+G12+G13+G14+D15</f>
        <v>32587.483903266009</v>
      </c>
      <c r="H10" s="14"/>
    </row>
    <row r="11" spans="1:8" ht="19.5" customHeight="1" x14ac:dyDescent="0.2">
      <c r="B11" s="88" t="s">
        <v>6</v>
      </c>
      <c r="C11" s="96">
        <v>7491.71</v>
      </c>
      <c r="D11" s="97">
        <f>C11/'Basis-Annahmen'!E34*((1-'Basis-Annahmen'!F19)^(D9-C9))*'Basis-Annahmen'!F34</f>
        <v>7190.1717795318782</v>
      </c>
      <c r="E11" s="97">
        <f>D11/'Basis-Annahmen'!F34*((1-'Basis-Annahmen'!G19)^5)*'Basis-Annahmen'!G34</f>
        <v>6779.8433174497322</v>
      </c>
      <c r="F11" s="97">
        <f>E11/'Basis-Annahmen'!G34*((1-'Basis-Annahmen'!H19)^5)*'Basis-Annahmen'!H34</f>
        <v>6495.9286943057868</v>
      </c>
      <c r="G11" s="98">
        <f>F11/'Basis-Annahmen'!H34*((1-'Basis-Annahmen'!I19)^5)*'Basis-Annahmen'!I34</f>
        <v>6217.4268733426716</v>
      </c>
      <c r="H11" s="14"/>
    </row>
    <row r="12" spans="1:8" ht="19.5" customHeight="1" x14ac:dyDescent="0.2">
      <c r="B12" s="88" t="s">
        <v>104</v>
      </c>
      <c r="C12" s="96">
        <v>11756.640000000001</v>
      </c>
      <c r="D12" s="97">
        <f>((1-'Basis-Annahmen'!F20)^(D9-C9))*((1+'Basis-Annahmen'!F9)^(D9-C9))*C12</f>
        <v>11422.501352808889</v>
      </c>
      <c r="E12" s="97">
        <f>((1-'Basis-Annahmen'!G20)^5)*((1+'Basis-Annahmen'!G9)^5)*D12</f>
        <v>11982.893448718771</v>
      </c>
      <c r="F12" s="97">
        <f>((1-'Basis-Annahmen'!H20)^5)*((1+'Basis-Annahmen'!H9)^5)*E12</f>
        <v>12570.778585903805</v>
      </c>
      <c r="G12" s="98">
        <f>((1-'Basis-Annahmen'!I20)^5)*((1+'Basis-Annahmen'!I9)^5)*F12</f>
        <v>13187.505583028771</v>
      </c>
      <c r="H12" s="14"/>
    </row>
    <row r="13" spans="1:8" ht="19.5" customHeight="1" x14ac:dyDescent="0.2">
      <c r="B13" s="88" t="s">
        <v>7</v>
      </c>
      <c r="C13" s="96">
        <v>115.98</v>
      </c>
      <c r="D13" s="97">
        <f>C13*((1-'Basis-Annahmen'!F20)^(D9-C9))</f>
        <v>99.595972300685986</v>
      </c>
      <c r="E13" s="97">
        <f>D13*((1-'Basis-Annahmen'!G20)^5)</f>
        <v>92.347029086345728</v>
      </c>
      <c r="F13" s="97">
        <f>E13*((1-'Basis-Annahmen'!H20)^5)</f>
        <v>85.625689313298125</v>
      </c>
      <c r="G13" s="98">
        <f>F13*((1-'Basis-Annahmen'!I20)^5)</f>
        <v>79.39355215772197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603.97368421052636</v>
      </c>
      <c r="E14" s="97">
        <f>'Basis-Annahmen'!G46*'Basis-Annahmen'!G51+'Basis-Annahmen'!G47*'Basis-Annahmen'!G52</f>
        <v>3685.2631578947367</v>
      </c>
      <c r="F14" s="97">
        <f>'Basis-Annahmen'!H46*'Basis-Annahmen'!H51+'Basis-Annahmen'!H47*'Basis-Annahmen'!H52</f>
        <v>7616.21052631579</v>
      </c>
      <c r="G14" s="98">
        <f>'Basis-Annahmen'!I46*'Basis-Annahmen'!I51+'Basis-Annahmen'!I47*'Basis-Annahmen'!I52</f>
        <v>13103.157894736843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-3.7304046223121091E-3</v>
      </c>
      <c r="E16" s="101">
        <f>(E10-$C$10)/$C$10</f>
        <v>0.16255850499286864</v>
      </c>
      <c r="F16" s="101">
        <f t="shared" ref="F16" si="0">(F10-$C$10)/$C$10</f>
        <v>0.38063526582098028</v>
      </c>
      <c r="G16" s="102">
        <f>(G10-$C$10)/$C$10</f>
        <v>0.68075747222544059</v>
      </c>
      <c r="H16" s="14"/>
    </row>
    <row r="17" spans="1:10" ht="19.5" customHeight="1" x14ac:dyDescent="0.2">
      <c r="B17" s="89" t="s">
        <v>97</v>
      </c>
      <c r="C17" s="107"/>
      <c r="D17" s="104">
        <f>D14/D10</f>
        <v>3.1267658561379176E-2</v>
      </c>
      <c r="E17" s="104">
        <f>E14/E10</f>
        <v>0.16349629247298661</v>
      </c>
      <c r="F17" s="104">
        <f>F14/F10</f>
        <v>0.28452091640696742</v>
      </c>
      <c r="G17" s="105">
        <f>G14/G10</f>
        <v>0.40209173355122418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11268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3526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7742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8120.57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54251</v>
      </c>
      <c r="D37" s="94">
        <f>SUM(D38:D40)</f>
        <v>55767.702077461807</v>
      </c>
      <c r="E37" s="94">
        <f>SUM(E38:E40)</f>
        <v>57042.808875114024</v>
      </c>
      <c r="F37" s="94">
        <f t="shared" ref="F37:G37" si="1">SUM(F38:F40)</f>
        <v>58522.037503959538</v>
      </c>
      <c r="G37" s="95">
        <f t="shared" si="1"/>
        <v>60168.076514562024</v>
      </c>
      <c r="H37" s="14"/>
    </row>
    <row r="38" spans="1:8" ht="19.5" customHeight="1" x14ac:dyDescent="0.2">
      <c r="A38" s="14"/>
      <c r="B38" s="113" t="s">
        <v>6</v>
      </c>
      <c r="C38" s="96">
        <v>29216.639999999999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28834.349493783302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28067.364138543515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27348.465639431612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26629.567140319708</v>
      </c>
      <c r="H38" s="14"/>
    </row>
    <row r="39" spans="1:8" ht="19.5" customHeight="1" x14ac:dyDescent="0.2">
      <c r="A39" s="14"/>
      <c r="B39" s="113" t="s">
        <v>104</v>
      </c>
      <c r="C39" s="96">
        <v>24974.35</v>
      </c>
      <c r="D39" s="97">
        <f>C39*((1-'Basis-Annahmen'!F$24)^(D36-C36))*((1+'Basis-Annahmen'!F$9)^(D36-C36))</f>
        <v>26871.350499362925</v>
      </c>
      <c r="E39" s="97">
        <f>((1-'Basis-Annahmen'!G$24)^5)*((1+'Basis-Annahmen'!G$9)^5)*'Nachfrage &amp; Erzeugung'!D39</f>
        <v>28912.443273182769</v>
      </c>
      <c r="F39" s="97">
        <f>((1-'Basis-Annahmen'!H$24)^5)*((1+'Basis-Annahmen'!H$9)^5)*'Nachfrage &amp; Erzeugung'!E39</f>
        <v>31108.573275646493</v>
      </c>
      <c r="G39" s="98">
        <f>((1-'Basis-Annahmen'!I$24)^5)*((1+'Basis-Annahmen'!I$9)^5)*'Nachfrage &amp; Erzeugung'!F39</f>
        <v>33471.51681725496</v>
      </c>
      <c r="H39" s="14"/>
    </row>
    <row r="40" spans="1:8" ht="19.5" customHeight="1" x14ac:dyDescent="0.2">
      <c r="A40" s="14"/>
      <c r="B40" s="113" t="s">
        <v>7</v>
      </c>
      <c r="C40" s="96">
        <v>60</v>
      </c>
      <c r="D40" s="97">
        <f>C40+(C40*'Basis-Annahmen'!F36)*((1-'Basis-Annahmen'!F24)^(D36-C36))</f>
        <v>62.002084315578948</v>
      </c>
      <c r="E40" s="97">
        <f>D40+(D40*'Basis-Annahmen'!G36)*((1-'Basis-Annahmen'!G24)^5)</f>
        <v>63.001463387734482</v>
      </c>
      <c r="F40" s="97">
        <f>E40+(E40*'Basis-Annahmen'!H36)*((1-'Basis-Annahmen'!H24)^5)</f>
        <v>64.998588881430308</v>
      </c>
      <c r="G40" s="98">
        <f>F40+(F40*'Basis-Annahmen'!I36)*((1-'Basis-Annahmen'!I24)^5)</f>
        <v>66.992556987358725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2.795712664212285E-2</v>
      </c>
      <c r="E42" s="104">
        <f>(E37-$C$37)/$C$37</f>
        <v>5.1460966159407644E-2</v>
      </c>
      <c r="F42" s="104">
        <f>(F37-$C$37)/$C$37</f>
        <v>7.8727350720899855E-2</v>
      </c>
      <c r="G42" s="105">
        <f>(G37-$C$37)/$C$37</f>
        <v>0.10906852435092486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10206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44045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0.16643159076553907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0.49068843552960384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6.8897298847842056E-2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0.27398267485701505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/>
      <c r="C56" s="167">
        <v>0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27000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3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26307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175380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3668.904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5.0956999999999999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